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nja/Library/Mobile Documents/com~apple~CloudDocs/UCU Job/Financial Info/"/>
    </mc:Choice>
  </mc:AlternateContent>
  <xr:revisionPtr revIDLastSave="0" documentId="13_ncr:1_{ABDDC8DC-A343-814B-9ACE-358169A4D681}" xr6:coauthVersionLast="47" xr6:coauthVersionMax="47" xr10:uidLastSave="{00000000-0000-0000-0000-000000000000}"/>
  <bookViews>
    <workbookView xWindow="0" yWindow="500" windowWidth="23260" windowHeight="12580" xr2:uid="{238C2FAA-82E2-461A-B789-10D866D7AC65}"/>
  </bookViews>
  <sheets>
    <sheet name="Input" sheetId="2" r:id="rId1"/>
    <sheet name="Calculat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26" i="1"/>
  <c r="D21" i="1"/>
  <c r="D27" i="1"/>
  <c r="D19" i="1"/>
  <c r="D12" i="1"/>
  <c r="D35" i="1"/>
  <c r="D36" i="1" s="1"/>
  <c r="E25" i="1"/>
  <c r="D14" i="1"/>
  <c r="D51" i="1" l="1"/>
  <c r="E38" i="2" s="1"/>
  <c r="D25" i="1"/>
  <c r="D32" i="1"/>
  <c r="I42" i="1" s="1"/>
  <c r="D31" i="1"/>
  <c r="D13" i="1"/>
  <c r="D52" i="1" s="1"/>
  <c r="B60" i="1"/>
  <c r="B59" i="1"/>
  <c r="D20" i="1" l="1"/>
  <c r="D28" i="1"/>
  <c r="L13" i="1"/>
  <c r="L12" i="1"/>
  <c r="I58" i="1"/>
  <c r="D15" i="1"/>
  <c r="C60" i="1"/>
  <c r="C59" i="1"/>
  <c r="D60" i="1"/>
  <c r="D59" i="1"/>
  <c r="D50" i="1"/>
  <c r="F58" i="1"/>
  <c r="F42" i="1"/>
  <c r="D22" i="1" l="1"/>
  <c r="D30" i="1" s="1"/>
  <c r="L14" i="1"/>
  <c r="D41" i="1" l="1"/>
  <c r="D53" i="1"/>
  <c r="E40" i="2" s="1"/>
  <c r="D57" i="1" l="1"/>
  <c r="E60" i="1" s="1"/>
  <c r="I60" i="1" s="1"/>
  <c r="E44" i="1"/>
  <c r="I44" i="1" s="1"/>
  <c r="E43" i="1"/>
  <c r="I43" i="1" s="1"/>
  <c r="E59" i="1" l="1"/>
  <c r="I59" i="1" s="1"/>
  <c r="F43" i="1"/>
  <c r="F44" i="1"/>
  <c r="F60" i="1"/>
  <c r="F59" i="1" l="1"/>
  <c r="F61" i="1" s="1"/>
  <c r="I45" i="1"/>
  <c r="F45" i="1"/>
  <c r="I61" i="1"/>
  <c r="D46" i="1" l="1"/>
  <c r="E69" i="1"/>
  <c r="D62" i="1"/>
  <c r="D69" i="1"/>
  <c r="D65" i="1" l="1"/>
  <c r="F69" i="1"/>
  <c r="E42" i="2" l="1"/>
  <c r="D66" i="1"/>
  <c r="E44" i="2" s="1"/>
  <c r="E46" i="2" l="1"/>
</calcChain>
</file>

<file path=xl/sharedStrings.xml><?xml version="1.0" encoding="utf-8"?>
<sst xmlns="http://schemas.openxmlformats.org/spreadsheetml/2006/main" count="118" uniqueCount="98">
  <si>
    <t>Personal allowance</t>
  </si>
  <si>
    <t>Basic</t>
  </si>
  <si>
    <t xml:space="preserve">Higher </t>
  </si>
  <si>
    <t>Tax paid</t>
  </si>
  <si>
    <t>Taxable</t>
  </si>
  <si>
    <t>Strike days</t>
  </si>
  <si>
    <t>Deduction</t>
  </si>
  <si>
    <t>days</t>
  </si>
  <si>
    <t>Effect of deduction on net pay</t>
  </si>
  <si>
    <t>Net deduction</t>
  </si>
  <si>
    <t>GROSS</t>
  </si>
  <si>
    <t>NET</t>
  </si>
  <si>
    <t>London Weighting</t>
  </si>
  <si>
    <t>FTE</t>
  </si>
  <si>
    <t>Full time basic salary</t>
  </si>
  <si>
    <t>August 2023 salary</t>
  </si>
  <si>
    <t>Income (4 months)</t>
  </si>
  <si>
    <t>Expected annual salary</t>
  </si>
  <si>
    <t>April 2023-March 2024 tax year</t>
  </si>
  <si>
    <t>February 2023 salary</t>
  </si>
  <si>
    <t>assumes current pay offer imposed</t>
  </si>
  <si>
    <t>Deductions</t>
  </si>
  <si>
    <t>Income received</t>
  </si>
  <si>
    <t>Income minus deduction</t>
  </si>
  <si>
    <t>Denominator</t>
  </si>
  <si>
    <t>Expected additional income</t>
  </si>
  <si>
    <t>NICs paid</t>
  </si>
  <si>
    <t>After tax and NICs</t>
  </si>
  <si>
    <t>NIC exempt?</t>
  </si>
  <si>
    <t>NICs</t>
  </si>
  <si>
    <t>total</t>
  </si>
  <si>
    <t>Income tax</t>
  </si>
  <si>
    <t>https://www.gov.uk/claim-national-insurance-refund</t>
  </si>
  <si>
    <t>https://www.gov.uk/claim-tax-refund</t>
  </si>
  <si>
    <t>Expected annual income</t>
  </si>
  <si>
    <t>Distribution of income into tax bands</t>
  </si>
  <si>
    <t>Gross deduction</t>
  </si>
  <si>
    <t>if you expect other taxable income</t>
  </si>
  <si>
    <t>if you are over state retirement age, NICs are not payable</t>
  </si>
  <si>
    <t>may be 0 (London Fringe to receive full amount)</t>
  </si>
  <si>
    <t>This estimator has been constructed to provide union members with the best estimate of the impact of pay deductions based on information available.</t>
  </si>
  <si>
    <t xml:space="preserve">Disclaimer: </t>
  </si>
  <si>
    <t>National Ins.</t>
  </si>
  <si>
    <t>Income Tax</t>
  </si>
  <si>
    <t>from scales, without London Weighting</t>
  </si>
  <si>
    <t>may be 0, or 2,100 for London Fringe</t>
  </si>
  <si>
    <t>UCL UCU MAB pay deduction estimator</t>
  </si>
  <si>
    <t>Salary in period Feb-July</t>
  </si>
  <si>
    <t>Expected rebate</t>
  </si>
  <si>
    <t>Useful links - in case you need to claim a refund yourself</t>
  </si>
  <si>
    <t>Tax and NIC refunds may be delayed by a month or two - we are currently seeking information from UCL regarding this.</t>
  </si>
  <si>
    <t>Full time basic salary (pro rata)</t>
  </si>
  <si>
    <t>Additional income</t>
  </si>
  <si>
    <t>National Insurance exemption</t>
  </si>
  <si>
    <t>Total Net Deduction</t>
  </si>
  <si>
    <t>Gross Deductions</t>
  </si>
  <si>
    <t>No</t>
  </si>
  <si>
    <t>per hour</t>
  </si>
  <si>
    <t>Hourly pay</t>
  </si>
  <si>
    <t>Living Wage</t>
  </si>
  <si>
    <t>total hours of deductions</t>
  </si>
  <si>
    <t>total days</t>
  </si>
  <si>
    <t>Equivalent strike days</t>
  </si>
  <si>
    <t xml:space="preserve">This estimator assumes that an Individual Case Review form has been completed. </t>
  </si>
  <si>
    <t>Note that it assumes that FTE is constant over the tax year when estimating the effect of tax and national insurance.</t>
  </si>
  <si>
    <t>December 2023 salary</t>
  </si>
  <si>
    <t>December increment</t>
  </si>
  <si>
    <t>in the tax year</t>
  </si>
  <si>
    <t>Following Individual Case Reviews</t>
  </si>
  <si>
    <t>Current full time salary</t>
  </si>
  <si>
    <t>Total hours deducted</t>
  </si>
  <si>
    <t>MAB deductions</t>
  </si>
  <si>
    <t>Basic Questions</t>
  </si>
  <si>
    <t>Deductions in £</t>
  </si>
  <si>
    <t>UCL HR have provided Individual Case Review forms to calculate individualised deduction rates</t>
  </si>
  <si>
    <t>Salary after Dec increment (3%)</t>
  </si>
  <si>
    <t>Assumed to be constant - if this changes during the year please write to us to explain your situation</t>
  </si>
  <si>
    <t>please enter as number, this can be found on your most recent payslip or from UCL's published salary scales dated August 2023 (you need to know your spine point)</t>
  </si>
  <si>
    <t>please enter as number, this can be found on your May 2023 payslip or from UCL's salary scales dated February 2023</t>
  </si>
  <si>
    <t>London Weighting from February</t>
  </si>
  <si>
    <t>London Weighting from December</t>
  </si>
  <si>
    <t>The estimator is based on UCL's current plans for deductions (based on ICR forms), and assumes that other sources of income are known.</t>
  </si>
  <si>
    <t>London Weighting will be £5,000 if you are on G7 or below, £4,500 G8 and above, £0 if LW not applicable</t>
  </si>
  <si>
    <t>If you expect to receive other taxable income, please put it here</t>
  </si>
  <si>
    <t>Full time salary from May 2023</t>
  </si>
  <si>
    <t>This should match the total cited in the HR letter and is based on deductions at 1/365</t>
  </si>
  <si>
    <t>Please be aware the net figure is just an estimate!</t>
  </si>
  <si>
    <t>£4,200, or £2,100 for London Fringe, or £0 if LW not applicable</t>
  </si>
  <si>
    <t>This will apply if you are at the current top spine point for your grade but will go up in December following the local pay spine 'review'</t>
  </si>
  <si>
    <t>2 days net pay</t>
  </si>
  <si>
    <t>Hardship pay claim amount</t>
  </si>
  <si>
    <t>Two days</t>
  </si>
  <si>
    <t>This is the amount you can claim from the hardship fund</t>
  </si>
  <si>
    <t>This is what you can expect to lose from your monthly income after tax and NICs</t>
  </si>
  <si>
    <t>This is the amount MABbers and Pledgers are being asked to pay</t>
  </si>
  <si>
    <t>Update post-Autumn Statement: NIC rate adjusted to take account of the reduction for the 20% tax bracket from 12 to 10% for three months out of twelve.</t>
  </si>
  <si>
    <t>UCL divides hours by 36.5/5 to obtain days</t>
  </si>
  <si>
    <t>[Updated 23-11-23]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</si>
</sst>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3" fontId="0" fillId="0" borderId="0" xfId="0" applyNumberFormat="1"/>
    <xf numFmtId="9" fontId="0" fillId="0" borderId="0" xfId="0" applyNumberFormat="1"/>
    <xf numFmtId="1" fontId="0" fillId="0" borderId="0" xfId="0" applyNumberFormat="1"/>
    <xf numFmtId="4" fontId="0" fillId="0" borderId="1" xfId="0" applyNumberFormat="1" applyBorder="1"/>
    <xf numFmtId="3" fontId="0" fillId="0" borderId="1" xfId="0" applyNumberFormat="1" applyBorder="1"/>
    <xf numFmtId="0" fontId="2" fillId="0" borderId="0" xfId="0" applyFont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3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8" xfId="0" applyNumberFormat="1" applyFont="1" applyBorder="1"/>
    <xf numFmtId="0" fontId="3" fillId="0" borderId="0" xfId="0" applyFont="1"/>
    <xf numFmtId="4" fontId="0" fillId="0" borderId="0" xfId="0" applyNumberFormat="1"/>
    <xf numFmtId="0" fontId="4" fillId="0" borderId="0" xfId="0" applyFont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6" fillId="0" borderId="1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2" borderId="13" xfId="0" applyFont="1" applyFill="1" applyBorder="1" applyAlignment="1">
      <alignment horizontal="right" vertical="top"/>
    </xf>
    <xf numFmtId="0" fontId="6" fillId="0" borderId="13" xfId="0" applyFont="1" applyBorder="1" applyAlignment="1">
      <alignment horizontal="right" vertical="top"/>
    </xf>
    <xf numFmtId="0" fontId="6" fillId="2" borderId="15" xfId="0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6" fillId="0" borderId="12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5" fillId="0" borderId="1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vertical="top"/>
    </xf>
    <xf numFmtId="0" fontId="7" fillId="0" borderId="0" xfId="0" applyFont="1" applyAlignment="1">
      <alignment vertical="top"/>
    </xf>
    <xf numFmtId="4" fontId="6" fillId="3" borderId="13" xfId="0" applyNumberFormat="1" applyFont="1" applyFill="1" applyBorder="1" applyAlignment="1">
      <alignment vertical="top"/>
    </xf>
    <xf numFmtId="0" fontId="8" fillId="0" borderId="0" xfId="0" applyFont="1"/>
    <xf numFmtId="0" fontId="6" fillId="0" borderId="0" xfId="0" applyFont="1"/>
    <xf numFmtId="0" fontId="6" fillId="0" borderId="9" xfId="0" applyFont="1" applyBorder="1"/>
    <xf numFmtId="0" fontId="6" fillId="0" borderId="11" xfId="0" applyFont="1" applyBorder="1"/>
    <xf numFmtId="3" fontId="6" fillId="2" borderId="13" xfId="0" applyNumberFormat="1" applyFont="1" applyFill="1" applyBorder="1" applyAlignment="1">
      <alignment horizontal="right" vertical="top"/>
    </xf>
    <xf numFmtId="0" fontId="5" fillId="0" borderId="13" xfId="0" applyFont="1" applyBorder="1" applyAlignment="1">
      <alignment horizontal="center" vertical="top"/>
    </xf>
    <xf numFmtId="4" fontId="6" fillId="3" borderId="15" xfId="0" applyNumberFormat="1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7" fillId="0" borderId="0" xfId="0" applyFont="1"/>
    <xf numFmtId="3" fontId="6" fillId="2" borderId="13" xfId="0" applyNumberFormat="1" applyFont="1" applyFill="1" applyBorder="1" applyAlignment="1">
      <alignment vertical="top"/>
    </xf>
    <xf numFmtId="0" fontId="0" fillId="0" borderId="0" xfId="0" applyAlignment="1">
      <alignment horizontal="center"/>
    </xf>
    <xf numFmtId="2" fontId="0" fillId="0" borderId="0" xfId="0" applyNumberFormat="1"/>
    <xf numFmtId="9" fontId="0" fillId="0" borderId="0" xfId="1" applyFont="1" applyFill="1"/>
    <xf numFmtId="164" fontId="0" fillId="0" borderId="0" xfId="0" applyNumberFormat="1"/>
    <xf numFmtId="0" fontId="5" fillId="0" borderId="1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6" fillId="0" borderId="12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14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EC0F-9D89-F348-AFFD-FA054434731C}">
  <dimension ref="B1:O48"/>
  <sheetViews>
    <sheetView tabSelected="1" workbookViewId="0">
      <selection activeCell="B2" sqref="B2"/>
    </sheetView>
  </sheetViews>
  <sheetFormatPr baseColWidth="10" defaultColWidth="11.5" defaultRowHeight="15" x14ac:dyDescent="0.2"/>
  <cols>
    <col min="1" max="1" width="8.5" customWidth="1"/>
    <col min="2" max="2" width="22.33203125" customWidth="1"/>
    <col min="4" max="4" width="11.1640625" customWidth="1"/>
    <col min="5" max="5" width="13.1640625" customWidth="1"/>
  </cols>
  <sheetData>
    <row r="1" spans="2:15" x14ac:dyDescent="0.2">
      <c r="B1" s="29" t="s">
        <v>97</v>
      </c>
      <c r="C1" s="29"/>
      <c r="D1" s="29"/>
      <c r="E1" s="29"/>
      <c r="F1" s="29"/>
      <c r="G1" s="29"/>
    </row>
    <row r="2" spans="2:15" ht="19" x14ac:dyDescent="0.2">
      <c r="B2" s="30" t="s">
        <v>46</v>
      </c>
      <c r="C2" s="31"/>
      <c r="D2" s="31"/>
      <c r="E2" s="31"/>
      <c r="F2" s="31"/>
      <c r="G2" s="29"/>
    </row>
    <row r="3" spans="2:15" ht="19" x14ac:dyDescent="0.2">
      <c r="B3" s="52" t="s">
        <v>68</v>
      </c>
      <c r="C3" s="53"/>
      <c r="D3" s="53"/>
      <c r="E3" s="31"/>
      <c r="F3" s="31"/>
      <c r="G3" s="29"/>
    </row>
    <row r="4" spans="2:15" ht="19" x14ac:dyDescent="0.2">
      <c r="B4" s="51"/>
      <c r="C4" s="31"/>
      <c r="D4" s="31"/>
      <c r="E4" s="31"/>
      <c r="F4" s="31"/>
      <c r="G4" s="29"/>
    </row>
    <row r="5" spans="2:15" ht="19" x14ac:dyDescent="0.2">
      <c r="B5" s="32" t="s">
        <v>41</v>
      </c>
      <c r="C5" s="33"/>
      <c r="D5" s="33"/>
      <c r="E5" s="33"/>
      <c r="F5" s="33"/>
      <c r="G5" s="34"/>
      <c r="H5" s="18"/>
      <c r="I5" s="18"/>
      <c r="J5" s="18"/>
      <c r="K5" s="18"/>
      <c r="L5" s="18"/>
      <c r="M5" s="18"/>
      <c r="N5" s="18"/>
      <c r="O5" s="19"/>
    </row>
    <row r="6" spans="2:15" ht="19" x14ac:dyDescent="0.2">
      <c r="B6" s="35" t="s">
        <v>40</v>
      </c>
      <c r="C6" s="31"/>
      <c r="D6" s="31"/>
      <c r="E6" s="31"/>
      <c r="F6" s="31"/>
      <c r="G6" s="29"/>
      <c r="O6" s="21"/>
    </row>
    <row r="7" spans="2:15" ht="19" x14ac:dyDescent="0.2">
      <c r="B7" s="35" t="s">
        <v>63</v>
      </c>
      <c r="C7" s="31"/>
      <c r="D7" s="31"/>
      <c r="E7" s="31"/>
      <c r="F7" s="31"/>
      <c r="G7" s="29"/>
      <c r="O7" s="21"/>
    </row>
    <row r="8" spans="2:15" ht="19" x14ac:dyDescent="0.2">
      <c r="B8" s="35" t="s">
        <v>64</v>
      </c>
      <c r="C8" s="31"/>
      <c r="D8" s="31"/>
      <c r="E8" s="31"/>
      <c r="F8" s="31"/>
      <c r="G8" s="29"/>
      <c r="O8" s="21"/>
    </row>
    <row r="9" spans="2:15" ht="19" x14ac:dyDescent="0.2">
      <c r="B9" s="36" t="s">
        <v>95</v>
      </c>
      <c r="C9" s="37"/>
      <c r="D9" s="37"/>
      <c r="E9" s="37"/>
      <c r="F9" s="37"/>
      <c r="G9" s="38"/>
      <c r="H9" s="7"/>
      <c r="I9" s="7"/>
      <c r="J9" s="7"/>
      <c r="K9" s="7"/>
      <c r="L9" s="7"/>
      <c r="M9" s="7"/>
      <c r="N9" s="7"/>
      <c r="O9" s="23"/>
    </row>
    <row r="10" spans="2:15" ht="19" x14ac:dyDescent="0.2">
      <c r="B10" s="31"/>
      <c r="C10" s="31"/>
      <c r="D10" s="31"/>
      <c r="E10" s="31"/>
      <c r="F10" s="31"/>
      <c r="G10" s="29"/>
    </row>
    <row r="11" spans="2:15" ht="19" x14ac:dyDescent="0.2">
      <c r="B11" s="60" t="s">
        <v>72</v>
      </c>
      <c r="C11" s="61"/>
      <c r="D11" s="61"/>
      <c r="E11" s="62"/>
      <c r="F11" s="31"/>
      <c r="G11" s="29"/>
    </row>
    <row r="12" spans="2:15" ht="19" x14ac:dyDescent="0.2">
      <c r="B12" s="39"/>
      <c r="C12" s="40"/>
      <c r="D12" s="40"/>
      <c r="E12" s="41"/>
      <c r="F12" s="31"/>
      <c r="G12" s="29"/>
    </row>
    <row r="13" spans="2:15" ht="19" x14ac:dyDescent="0.2">
      <c r="B13" s="63" t="s">
        <v>69</v>
      </c>
      <c r="C13" s="64"/>
      <c r="D13" s="64"/>
      <c r="E13" s="55">
        <v>44263</v>
      </c>
      <c r="F13" s="31"/>
      <c r="G13" s="42" t="s">
        <v>77</v>
      </c>
    </row>
    <row r="14" spans="2:15" ht="19" x14ac:dyDescent="0.2">
      <c r="B14" s="39"/>
      <c r="C14" s="40"/>
      <c r="D14" s="40"/>
      <c r="E14" s="41"/>
      <c r="F14" s="31"/>
      <c r="G14" s="29"/>
    </row>
    <row r="15" spans="2:15" ht="19" x14ac:dyDescent="0.2">
      <c r="B15" s="63" t="s">
        <v>84</v>
      </c>
      <c r="C15" s="64"/>
      <c r="D15" s="64"/>
      <c r="E15" s="48">
        <v>43155</v>
      </c>
      <c r="F15" s="29"/>
      <c r="G15" s="42" t="s">
        <v>78</v>
      </c>
    </row>
    <row r="16" spans="2:15" ht="19" x14ac:dyDescent="0.2">
      <c r="B16" s="24"/>
      <c r="C16" s="25"/>
      <c r="D16" s="25"/>
      <c r="E16" s="27"/>
      <c r="F16" s="29"/>
      <c r="G16" s="31"/>
    </row>
    <row r="17" spans="2:7" ht="19" x14ac:dyDescent="0.2">
      <c r="B17" s="63" t="s">
        <v>79</v>
      </c>
      <c r="C17" s="64"/>
      <c r="D17" s="64"/>
      <c r="E17" s="48">
        <v>4200</v>
      </c>
      <c r="F17" s="29"/>
      <c r="G17" s="42" t="s">
        <v>87</v>
      </c>
    </row>
    <row r="18" spans="2:7" ht="19" x14ac:dyDescent="0.2">
      <c r="B18" s="24"/>
      <c r="C18" s="25"/>
      <c r="D18" s="25"/>
      <c r="E18" s="27"/>
      <c r="F18" s="29"/>
      <c r="G18" s="42"/>
    </row>
    <row r="19" spans="2:7" ht="19" x14ac:dyDescent="0.2">
      <c r="B19" s="24"/>
      <c r="C19" s="25"/>
      <c r="D19" s="25" t="s">
        <v>13</v>
      </c>
      <c r="E19" s="26">
        <v>0.5</v>
      </c>
      <c r="F19" s="29"/>
      <c r="G19" s="42" t="s">
        <v>76</v>
      </c>
    </row>
    <row r="20" spans="2:7" ht="19" x14ac:dyDescent="0.2">
      <c r="B20" s="24"/>
      <c r="C20" s="25"/>
      <c r="D20" s="25"/>
      <c r="E20" s="27"/>
      <c r="F20" s="29"/>
      <c r="G20" s="42"/>
    </row>
    <row r="21" spans="2:7" ht="19" x14ac:dyDescent="0.2">
      <c r="B21" s="63" t="s">
        <v>80</v>
      </c>
      <c r="C21" s="64"/>
      <c r="D21" s="64"/>
      <c r="E21" s="48">
        <v>5000</v>
      </c>
      <c r="F21" s="29"/>
      <c r="G21" s="42" t="s">
        <v>82</v>
      </c>
    </row>
    <row r="22" spans="2:7" ht="19" x14ac:dyDescent="0.2">
      <c r="B22" s="24"/>
      <c r="C22" s="25"/>
      <c r="D22" s="25"/>
      <c r="E22" s="27"/>
      <c r="F22" s="29"/>
      <c r="G22" s="42"/>
    </row>
    <row r="23" spans="2:7" ht="19" x14ac:dyDescent="0.2">
      <c r="B23" s="24"/>
      <c r="C23" s="25"/>
      <c r="D23" s="25" t="s">
        <v>66</v>
      </c>
      <c r="E23" s="26" t="s">
        <v>56</v>
      </c>
      <c r="F23" s="29"/>
      <c r="G23" s="42" t="s">
        <v>88</v>
      </c>
    </row>
    <row r="24" spans="2:7" ht="19" x14ac:dyDescent="0.2">
      <c r="B24" s="24"/>
      <c r="C24" s="25"/>
      <c r="D24" s="25"/>
      <c r="E24" s="27"/>
      <c r="F24" s="29"/>
      <c r="G24" s="42"/>
    </row>
    <row r="25" spans="2:7" ht="19" x14ac:dyDescent="0.2">
      <c r="B25" s="24"/>
      <c r="C25" s="25"/>
      <c r="D25" s="25" t="s">
        <v>0</v>
      </c>
      <c r="E25" s="48">
        <v>12570</v>
      </c>
      <c r="F25" s="29"/>
      <c r="G25" s="42"/>
    </row>
    <row r="26" spans="2:7" ht="19" x14ac:dyDescent="0.2">
      <c r="B26" s="24"/>
      <c r="C26" s="25"/>
      <c r="D26" s="25"/>
      <c r="E26" s="27"/>
      <c r="F26" s="29"/>
      <c r="G26" s="42"/>
    </row>
    <row r="27" spans="2:7" ht="19" x14ac:dyDescent="0.2">
      <c r="B27" s="63" t="s">
        <v>52</v>
      </c>
      <c r="C27" s="64"/>
      <c r="D27" s="64"/>
      <c r="E27" s="26">
        <v>0</v>
      </c>
      <c r="F27" s="29"/>
      <c r="G27" s="42" t="s">
        <v>83</v>
      </c>
    </row>
    <row r="28" spans="2:7" ht="19" x14ac:dyDescent="0.2">
      <c r="B28" s="24"/>
      <c r="C28" s="25"/>
      <c r="D28" s="25"/>
      <c r="E28" s="27"/>
      <c r="F28" s="29"/>
      <c r="G28" s="42"/>
    </row>
    <row r="29" spans="2:7" ht="19" x14ac:dyDescent="0.2">
      <c r="B29" s="65" t="s">
        <v>53</v>
      </c>
      <c r="C29" s="66"/>
      <c r="D29" s="66"/>
      <c r="E29" s="28" t="s">
        <v>56</v>
      </c>
      <c r="F29" s="29"/>
      <c r="G29" s="42" t="s">
        <v>38</v>
      </c>
    </row>
    <row r="30" spans="2:7" ht="19" x14ac:dyDescent="0.2">
      <c r="B30" s="25"/>
      <c r="C30" s="25"/>
      <c r="D30" s="25"/>
      <c r="E30" s="25"/>
      <c r="F30" s="29"/>
      <c r="G30" s="42"/>
    </row>
    <row r="31" spans="2:7" ht="19" x14ac:dyDescent="0.2">
      <c r="B31" s="60" t="s">
        <v>71</v>
      </c>
      <c r="C31" s="61"/>
      <c r="D31" s="61"/>
      <c r="E31" s="62"/>
      <c r="F31" s="29"/>
      <c r="G31" s="42"/>
    </row>
    <row r="32" spans="2:7" ht="19" x14ac:dyDescent="0.25">
      <c r="B32" s="46"/>
      <c r="C32" s="45"/>
      <c r="D32" s="45"/>
      <c r="E32" s="47"/>
      <c r="F32" s="29"/>
    </row>
    <row r="33" spans="2:7" ht="19" x14ac:dyDescent="0.25">
      <c r="B33" s="65" t="s">
        <v>70</v>
      </c>
      <c r="C33" s="66"/>
      <c r="D33" s="66"/>
      <c r="E33" s="28">
        <v>53.88</v>
      </c>
      <c r="F33" s="29"/>
      <c r="G33" s="54" t="s">
        <v>74</v>
      </c>
    </row>
    <row r="34" spans="2:7" x14ac:dyDescent="0.2">
      <c r="B34" s="29"/>
      <c r="C34" s="29"/>
      <c r="D34" s="29"/>
      <c r="E34" s="29"/>
      <c r="F34" s="29"/>
      <c r="G34" s="29"/>
    </row>
    <row r="35" spans="2:7" x14ac:dyDescent="0.2">
      <c r="B35" s="29"/>
      <c r="C35" s="29"/>
      <c r="D35" s="29"/>
      <c r="E35" s="29"/>
      <c r="F35" s="29"/>
      <c r="G35" s="29"/>
    </row>
    <row r="36" spans="2:7" ht="19" x14ac:dyDescent="0.2">
      <c r="B36" s="60" t="s">
        <v>73</v>
      </c>
      <c r="C36" s="61"/>
      <c r="D36" s="61"/>
      <c r="E36" s="62"/>
      <c r="F36" s="29"/>
      <c r="G36" s="29"/>
    </row>
    <row r="37" spans="2:7" ht="19" x14ac:dyDescent="0.2">
      <c r="B37" s="39"/>
      <c r="C37" s="40"/>
      <c r="D37" s="40"/>
      <c r="E37" s="49"/>
      <c r="F37" s="29"/>
      <c r="G37" s="29"/>
    </row>
    <row r="38" spans="2:7" ht="19" x14ac:dyDescent="0.25">
      <c r="B38" s="63" t="s">
        <v>62</v>
      </c>
      <c r="C38" s="64"/>
      <c r="D38" s="64"/>
      <c r="E38" s="43">
        <f>Calculations!D51</f>
        <v>7.3808219178082197</v>
      </c>
      <c r="F38" s="29"/>
      <c r="G38" s="54" t="s">
        <v>96</v>
      </c>
    </row>
    <row r="39" spans="2:7" ht="19" x14ac:dyDescent="0.2">
      <c r="B39" s="39"/>
      <c r="C39" s="40"/>
      <c r="D39" s="40"/>
      <c r="E39" s="41"/>
      <c r="F39" s="29"/>
      <c r="G39" s="29"/>
    </row>
    <row r="40" spans="2:7" ht="19" x14ac:dyDescent="0.25">
      <c r="B40" s="63" t="s">
        <v>55</v>
      </c>
      <c r="C40" s="64"/>
      <c r="D40" s="64"/>
      <c r="E40" s="43">
        <f>Calculations!D53</f>
        <v>957.58581347344716</v>
      </c>
      <c r="F40" s="29"/>
      <c r="G40" s="54" t="s">
        <v>85</v>
      </c>
    </row>
    <row r="41" spans="2:7" ht="19" x14ac:dyDescent="0.25">
      <c r="B41" s="24"/>
      <c r="C41" s="25"/>
      <c r="D41" s="25"/>
      <c r="E41" s="41"/>
      <c r="F41" s="29"/>
      <c r="G41" s="54"/>
    </row>
    <row r="42" spans="2:7" ht="19" x14ac:dyDescent="0.2">
      <c r="B42" s="63" t="s">
        <v>54</v>
      </c>
      <c r="C42" s="64"/>
      <c r="D42" s="64"/>
      <c r="E42" s="43">
        <f>Calculations!D65</f>
        <v>655.94628222930987</v>
      </c>
      <c r="F42" s="29"/>
      <c r="G42" s="42" t="s">
        <v>93</v>
      </c>
    </row>
    <row r="43" spans="2:7" ht="19" x14ac:dyDescent="0.25">
      <c r="B43" s="24"/>
      <c r="C43" s="25"/>
      <c r="D43" s="25"/>
      <c r="E43" s="41"/>
      <c r="F43" s="29"/>
      <c r="G43" s="54"/>
    </row>
    <row r="44" spans="2:7" ht="19" x14ac:dyDescent="0.25">
      <c r="B44" s="24"/>
      <c r="C44" s="25"/>
      <c r="D44" s="25" t="s">
        <v>89</v>
      </c>
      <c r="E44" s="43">
        <f>Calculations!D66</f>
        <v>177.74342465753384</v>
      </c>
      <c r="F44" s="29"/>
      <c r="G44" s="54" t="s">
        <v>94</v>
      </c>
    </row>
    <row r="45" spans="2:7" ht="19" x14ac:dyDescent="0.2">
      <c r="B45" s="24"/>
      <c r="C45" s="25"/>
      <c r="D45" s="25"/>
      <c r="E45" s="41"/>
      <c r="F45" s="29"/>
      <c r="G45" s="29"/>
    </row>
    <row r="46" spans="2:7" ht="19" x14ac:dyDescent="0.2">
      <c r="B46" s="65" t="s">
        <v>90</v>
      </c>
      <c r="C46" s="66"/>
      <c r="D46" s="66"/>
      <c r="E46" s="50">
        <f>MAX(0, E42-E44)</f>
        <v>478.20285757177601</v>
      </c>
      <c r="F46" s="29"/>
      <c r="G46" s="42" t="s">
        <v>92</v>
      </c>
    </row>
    <row r="47" spans="2:7" x14ac:dyDescent="0.2">
      <c r="C47" s="29"/>
      <c r="D47" s="29"/>
      <c r="E47" s="29"/>
      <c r="F47" s="29"/>
      <c r="G47" s="29"/>
    </row>
    <row r="48" spans="2:7" x14ac:dyDescent="0.2">
      <c r="B48" s="44" t="s">
        <v>86</v>
      </c>
    </row>
  </sheetData>
  <mergeCells count="14">
    <mergeCell ref="B11:E11"/>
    <mergeCell ref="B36:E36"/>
    <mergeCell ref="B40:D40"/>
    <mergeCell ref="B46:D46"/>
    <mergeCell ref="B15:D15"/>
    <mergeCell ref="B17:D17"/>
    <mergeCell ref="B13:D13"/>
    <mergeCell ref="B27:D27"/>
    <mergeCell ref="B29:D29"/>
    <mergeCell ref="B31:E31"/>
    <mergeCell ref="B33:D33"/>
    <mergeCell ref="B38:D38"/>
    <mergeCell ref="B21:D21"/>
    <mergeCell ref="B42:D42"/>
  </mergeCells>
  <dataValidations count="5">
    <dataValidation type="list" allowBlank="1" showInputMessage="1" showErrorMessage="1" sqref="E17:E18" xr:uid="{6F2F2631-31D9-A840-895F-5EE2033CD009}">
      <formula1>"4200, 2100, 0"</formula1>
    </dataValidation>
    <dataValidation type="list" allowBlank="1" showInputMessage="1" showErrorMessage="1" sqref="E29 E23:E24" xr:uid="{B7494365-C021-9748-B0BE-14EAEA777D9B}">
      <formula1>"Yes, No"</formula1>
    </dataValidation>
    <dataValidation type="decimal" allowBlank="1" showInputMessage="1" showErrorMessage="1" sqref="E33" xr:uid="{F2F69D3E-A26A-7B48-BC81-2861C0EFA007}">
      <formula1>0</formula1>
      <formula2>1000</formula2>
    </dataValidation>
    <dataValidation type="whole" allowBlank="1" showInputMessage="1" showErrorMessage="1" sqref="E15" xr:uid="{60C6D33E-2936-C345-9696-FC93704E32B2}">
      <formula1>0</formula1>
      <formula2>200000</formula2>
    </dataValidation>
    <dataValidation type="list" allowBlank="1" showInputMessage="1" showErrorMessage="1" sqref="E21" xr:uid="{1ADDD7DB-5AD1-4583-A4AB-EEC6F97B7D49}">
      <formula1>"5000, 4500, 0"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78D9-5C43-4BEB-8CF9-1344B7EF29C2}">
  <dimension ref="B1:N73"/>
  <sheetViews>
    <sheetView workbookViewId="0">
      <selection activeCell="D10" sqref="D10"/>
    </sheetView>
  </sheetViews>
  <sheetFormatPr baseColWidth="10" defaultColWidth="8.6640625" defaultRowHeight="15" x14ac:dyDescent="0.2"/>
  <cols>
    <col min="2" max="2" width="13.6640625" customWidth="1"/>
    <col min="3" max="3" width="10.5" customWidth="1"/>
    <col min="4" max="4" width="11.5" bestFit="1" customWidth="1"/>
    <col min="6" max="6" width="9.1640625" customWidth="1"/>
    <col min="8" max="8" width="10.33203125" customWidth="1"/>
    <col min="9" max="9" width="11.6640625" customWidth="1"/>
    <col min="10" max="10" width="7.6640625" customWidth="1"/>
  </cols>
  <sheetData>
    <row r="1" spans="2:14" ht="17" x14ac:dyDescent="0.2">
      <c r="B1" s="16" t="s">
        <v>46</v>
      </c>
    </row>
    <row r="3" spans="2:14" x14ac:dyDescent="0.2">
      <c r="B3" s="17" t="s">
        <v>41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2:14" x14ac:dyDescent="0.2">
      <c r="B4" s="20" t="s">
        <v>40</v>
      </c>
      <c r="N4" s="21"/>
    </row>
    <row r="5" spans="2:14" x14ac:dyDescent="0.2">
      <c r="B5" s="20" t="s">
        <v>50</v>
      </c>
      <c r="N5" s="21"/>
    </row>
    <row r="6" spans="2:14" x14ac:dyDescent="0.2">
      <c r="B6" s="22" t="s">
        <v>81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23"/>
    </row>
    <row r="8" spans="2:14" x14ac:dyDescent="0.2">
      <c r="B8" s="6" t="s">
        <v>34</v>
      </c>
    </row>
    <row r="9" spans="2:14" x14ac:dyDescent="0.2">
      <c r="B9" s="14" t="s">
        <v>18</v>
      </c>
    </row>
    <row r="11" spans="2:14" x14ac:dyDescent="0.2">
      <c r="B11" s="6" t="s">
        <v>19</v>
      </c>
    </row>
    <row r="12" spans="2:14" x14ac:dyDescent="0.2">
      <c r="B12" t="s">
        <v>51</v>
      </c>
      <c r="D12" s="1">
        <f>Input!E15</f>
        <v>43155</v>
      </c>
      <c r="F12" t="s">
        <v>44</v>
      </c>
      <c r="J12" t="s">
        <v>58</v>
      </c>
      <c r="L12" s="15">
        <f>(D12+D13)/52.14/36.5</f>
        <v>24.882954742500434</v>
      </c>
      <c r="M12" t="s">
        <v>57</v>
      </c>
    </row>
    <row r="13" spans="2:14" x14ac:dyDescent="0.2">
      <c r="B13" t="s">
        <v>12</v>
      </c>
      <c r="D13" s="1">
        <f>Input!E17</f>
        <v>4200</v>
      </c>
      <c r="F13" t="s">
        <v>45</v>
      </c>
      <c r="J13" t="s">
        <v>59</v>
      </c>
      <c r="L13">
        <f>IF(D13=0,10.42,11.95)</f>
        <v>11.95</v>
      </c>
    </row>
    <row r="14" spans="2:14" x14ac:dyDescent="0.2">
      <c r="B14" t="s">
        <v>13</v>
      </c>
      <c r="D14">
        <f>Input!E19</f>
        <v>0.5</v>
      </c>
      <c r="J14" t="s">
        <v>6</v>
      </c>
      <c r="L14" s="15">
        <f>L12-L13</f>
        <v>12.932954742500435</v>
      </c>
    </row>
    <row r="15" spans="2:14" x14ac:dyDescent="0.2">
      <c r="B15" t="s">
        <v>16</v>
      </c>
      <c r="D15" s="1">
        <f>(D12+D13)*D14*4/12</f>
        <v>7892.5</v>
      </c>
    </row>
    <row r="16" spans="2:14" x14ac:dyDescent="0.2">
      <c r="D16" s="1"/>
    </row>
    <row r="17" spans="2:8" x14ac:dyDescent="0.2">
      <c r="B17" s="6" t="s">
        <v>15</v>
      </c>
    </row>
    <row r="19" spans="2:8" x14ac:dyDescent="0.2">
      <c r="B19" t="s">
        <v>14</v>
      </c>
      <c r="D19" s="1">
        <f>Input!E13</f>
        <v>44263</v>
      </c>
      <c r="F19" t="s">
        <v>20</v>
      </c>
    </row>
    <row r="20" spans="2:8" x14ac:dyDescent="0.2">
      <c r="B20" t="s">
        <v>12</v>
      </c>
      <c r="D20" s="1">
        <f>IF(D13=0,0,4500)</f>
        <v>4500</v>
      </c>
      <c r="F20" t="s">
        <v>39</v>
      </c>
    </row>
    <row r="21" spans="2:8" x14ac:dyDescent="0.2">
      <c r="B21" t="s">
        <v>13</v>
      </c>
      <c r="D21">
        <f>Input!E19</f>
        <v>0.5</v>
      </c>
    </row>
    <row r="22" spans="2:8" x14ac:dyDescent="0.2">
      <c r="B22" t="s">
        <v>16</v>
      </c>
      <c r="D22" s="1">
        <f>(D19+D20)*D21*4/12</f>
        <v>8127.166666666667</v>
      </c>
    </row>
    <row r="23" spans="2:8" x14ac:dyDescent="0.2">
      <c r="D23" s="1"/>
    </row>
    <row r="24" spans="2:8" x14ac:dyDescent="0.2">
      <c r="B24" s="6" t="s">
        <v>65</v>
      </c>
    </row>
    <row r="25" spans="2:8" x14ac:dyDescent="0.2">
      <c r="B25" t="s">
        <v>75</v>
      </c>
      <c r="D25" s="1">
        <f>D19*IF(E25="Yes",1.03,1)</f>
        <v>44263</v>
      </c>
      <c r="E25" s="56" t="str">
        <f>Input!E23</f>
        <v>No</v>
      </c>
    </row>
    <row r="26" spans="2:8" x14ac:dyDescent="0.2">
      <c r="B26" t="s">
        <v>12</v>
      </c>
      <c r="D26" s="1">
        <f>Input!E21</f>
        <v>5000</v>
      </c>
    </row>
    <row r="27" spans="2:8" x14ac:dyDescent="0.2">
      <c r="B27" t="s">
        <v>13</v>
      </c>
      <c r="D27">
        <f>Input!E19</f>
        <v>0.5</v>
      </c>
    </row>
    <row r="28" spans="2:8" x14ac:dyDescent="0.2">
      <c r="B28" t="s">
        <v>16</v>
      </c>
      <c r="D28" s="1">
        <f>(D25+D26)*D27*4/12</f>
        <v>8210.5</v>
      </c>
    </row>
    <row r="29" spans="2:8" x14ac:dyDescent="0.2">
      <c r="D29" s="1"/>
      <c r="H29" s="2"/>
    </row>
    <row r="30" spans="2:8" x14ac:dyDescent="0.2">
      <c r="B30" t="s">
        <v>17</v>
      </c>
      <c r="D30" s="1">
        <f>D15+D22+D28</f>
        <v>24230.166666666668</v>
      </c>
      <c r="F30" t="s">
        <v>67</v>
      </c>
      <c r="H30" s="2"/>
    </row>
    <row r="31" spans="2:8" x14ac:dyDescent="0.2">
      <c r="B31" t="s">
        <v>25</v>
      </c>
      <c r="D31" s="1">
        <f>Input!E27</f>
        <v>0</v>
      </c>
      <c r="F31" t="s">
        <v>37</v>
      </c>
    </row>
    <row r="32" spans="2:8" x14ac:dyDescent="0.2">
      <c r="B32" t="s">
        <v>28</v>
      </c>
      <c r="D32" s="56" t="str">
        <f>Input!E29</f>
        <v>No</v>
      </c>
      <c r="F32" t="s">
        <v>38</v>
      </c>
    </row>
    <row r="34" spans="2:9" x14ac:dyDescent="0.2">
      <c r="B34" s="6" t="s">
        <v>21</v>
      </c>
    </row>
    <row r="35" spans="2:9" x14ac:dyDescent="0.2">
      <c r="B35" t="s">
        <v>60</v>
      </c>
      <c r="D35">
        <f>Input!E33</f>
        <v>53.88</v>
      </c>
    </row>
    <row r="36" spans="2:9" x14ac:dyDescent="0.2">
      <c r="B36" t="s">
        <v>61</v>
      </c>
      <c r="D36" s="57">
        <f>D35/7.3</f>
        <v>7.3808219178082197</v>
      </c>
    </row>
    <row r="37" spans="2:9" x14ac:dyDescent="0.2">
      <c r="D37" s="58"/>
    </row>
    <row r="39" spans="2:9" x14ac:dyDescent="0.2">
      <c r="B39" s="6" t="s">
        <v>35</v>
      </c>
    </row>
    <row r="40" spans="2:9" x14ac:dyDescent="0.2">
      <c r="B40" t="s">
        <v>10</v>
      </c>
      <c r="E40" t="s">
        <v>4</v>
      </c>
      <c r="F40" t="s">
        <v>3</v>
      </c>
      <c r="I40" t="s">
        <v>26</v>
      </c>
    </row>
    <row r="41" spans="2:9" x14ac:dyDescent="0.2">
      <c r="B41" t="s">
        <v>22</v>
      </c>
      <c r="D41" s="1">
        <f>D30+D31</f>
        <v>24230.166666666668</v>
      </c>
    </row>
    <row r="42" spans="2:9" x14ac:dyDescent="0.2">
      <c r="B42" t="s">
        <v>0</v>
      </c>
      <c r="C42" s="2"/>
      <c r="D42" s="1">
        <v>12570</v>
      </c>
      <c r="E42" s="1">
        <v>0</v>
      </c>
      <c r="F42" s="3">
        <f>E42*C42</f>
        <v>0</v>
      </c>
      <c r="H42" s="2">
        <v>0</v>
      </c>
      <c r="I42" s="3">
        <f>IF(D$32="Yes",0,H42*E42)</f>
        <v>0</v>
      </c>
    </row>
    <row r="43" spans="2:9" x14ac:dyDescent="0.2">
      <c r="B43" t="s">
        <v>1</v>
      </c>
      <c r="C43" s="2">
        <v>0.2</v>
      </c>
      <c r="D43" s="1">
        <v>50270</v>
      </c>
      <c r="E43" s="1">
        <f>MAX(0,MIN(D41,D43)-D42)</f>
        <v>11660.166666666668</v>
      </c>
      <c r="F43" s="3">
        <f>E43*C43</f>
        <v>2332.0333333333338</v>
      </c>
      <c r="H43" s="59">
        <v>0.115</v>
      </c>
      <c r="I43" s="3">
        <f>IF(D$32="Yes",0,H43*E43)</f>
        <v>1340.9191666666668</v>
      </c>
    </row>
    <row r="44" spans="2:9" x14ac:dyDescent="0.2">
      <c r="B44" t="s">
        <v>2</v>
      </c>
      <c r="C44" s="2">
        <v>0.4</v>
      </c>
      <c r="D44" s="1">
        <v>125140</v>
      </c>
      <c r="E44" s="1">
        <f>MAX(0,MIN(D44,D41)-D43)</f>
        <v>0</v>
      </c>
      <c r="F44" s="3">
        <f>E44*C44</f>
        <v>0</v>
      </c>
      <c r="H44" s="2">
        <v>0.02</v>
      </c>
      <c r="I44" s="3">
        <f>IF(D$32="Yes",0,H44*E44)</f>
        <v>0</v>
      </c>
    </row>
    <row r="45" spans="2:9" x14ac:dyDescent="0.2">
      <c r="C45" s="2"/>
      <c r="E45" s="1"/>
      <c r="F45" s="5">
        <f>SUM(F43:F44)</f>
        <v>2332.0333333333338</v>
      </c>
      <c r="I45" s="5">
        <f>SUM(I43:I44)</f>
        <v>1340.9191666666668</v>
      </c>
    </row>
    <row r="46" spans="2:9" x14ac:dyDescent="0.2">
      <c r="B46" t="s">
        <v>27</v>
      </c>
      <c r="D46" s="1">
        <f>D41-F45-I45</f>
        <v>20557.214166666668</v>
      </c>
    </row>
    <row r="48" spans="2:9" x14ac:dyDescent="0.2">
      <c r="B48" s="6" t="s">
        <v>36</v>
      </c>
    </row>
    <row r="49" spans="2:9" x14ac:dyDescent="0.2">
      <c r="B49" t="s">
        <v>10</v>
      </c>
    </row>
    <row r="50" spans="2:9" x14ac:dyDescent="0.2">
      <c r="B50" t="s">
        <v>24</v>
      </c>
      <c r="D50">
        <f>365</f>
        <v>365</v>
      </c>
      <c r="E50" t="s">
        <v>7</v>
      </c>
    </row>
    <row r="51" spans="2:9" x14ac:dyDescent="0.2">
      <c r="B51" t="s">
        <v>5</v>
      </c>
      <c r="D51" s="15">
        <f>D36</f>
        <v>7.3808219178082197</v>
      </c>
    </row>
    <row r="52" spans="2:9" x14ac:dyDescent="0.2">
      <c r="B52" t="s">
        <v>47</v>
      </c>
      <c r="C52" s="7"/>
      <c r="D52" s="1">
        <f>(D13+D12)</f>
        <v>47355</v>
      </c>
    </row>
    <row r="53" spans="2:9" x14ac:dyDescent="0.2">
      <c r="B53" s="4" t="s">
        <v>6</v>
      </c>
      <c r="C53" s="7"/>
      <c r="D53" s="4">
        <f>D51/D50*D52</f>
        <v>957.58581347344716</v>
      </c>
    </row>
    <row r="55" spans="2:9" x14ac:dyDescent="0.2">
      <c r="B55" s="6" t="s">
        <v>8</v>
      </c>
    </row>
    <row r="56" spans="2:9" x14ac:dyDescent="0.2">
      <c r="B56" t="s">
        <v>11</v>
      </c>
      <c r="E56" t="s">
        <v>4</v>
      </c>
      <c r="F56" t="s">
        <v>3</v>
      </c>
      <c r="I56" t="s">
        <v>26</v>
      </c>
    </row>
    <row r="57" spans="2:9" x14ac:dyDescent="0.2">
      <c r="B57" t="s">
        <v>23</v>
      </c>
      <c r="D57" s="1">
        <f>D41-D53</f>
        <v>23272.58085319322</v>
      </c>
    </row>
    <row r="58" spans="2:9" x14ac:dyDescent="0.2">
      <c r="B58" t="s">
        <v>0</v>
      </c>
      <c r="C58" s="2"/>
      <c r="D58" s="1">
        <f>Input!E25</f>
        <v>12570</v>
      </c>
      <c r="E58" s="1">
        <v>0</v>
      </c>
      <c r="F58" s="3">
        <f>E58*C58</f>
        <v>0</v>
      </c>
      <c r="H58" s="2">
        <v>0</v>
      </c>
      <c r="I58" s="3">
        <f>IF(D$32="Yes",0,H58*E58)</f>
        <v>0</v>
      </c>
    </row>
    <row r="59" spans="2:9" x14ac:dyDescent="0.2">
      <c r="B59" t="str">
        <f t="shared" ref="B59:D60" si="0">B43</f>
        <v>Basic</v>
      </c>
      <c r="C59" s="2">
        <f t="shared" si="0"/>
        <v>0.2</v>
      </c>
      <c r="D59" s="1">
        <f t="shared" si="0"/>
        <v>50270</v>
      </c>
      <c r="E59" s="1">
        <f>MAX(0,MIN(D57,D59)-D58)</f>
        <v>10702.58085319322</v>
      </c>
      <c r="F59" s="3">
        <f>E59*C59</f>
        <v>2140.5161706386439</v>
      </c>
      <c r="H59" s="59">
        <v>0.115</v>
      </c>
      <c r="I59" s="3">
        <f>IF(D$32="Yes",0,H59*E59)</f>
        <v>1230.7967981172203</v>
      </c>
    </row>
    <row r="60" spans="2:9" x14ac:dyDescent="0.2">
      <c r="B60" t="str">
        <f t="shared" si="0"/>
        <v xml:space="preserve">Higher </v>
      </c>
      <c r="C60" s="2">
        <f t="shared" si="0"/>
        <v>0.4</v>
      </c>
      <c r="D60" s="1">
        <f t="shared" si="0"/>
        <v>125140</v>
      </c>
      <c r="E60" s="1">
        <f>MAX(0,MIN(D60,D57)-D59)</f>
        <v>0</v>
      </c>
      <c r="F60" s="3">
        <f>E60*C60</f>
        <v>0</v>
      </c>
      <c r="H60" s="2">
        <v>0.02</v>
      </c>
      <c r="I60" s="3">
        <f>IF(D$32="Yes",0,H60*E60)</f>
        <v>0</v>
      </c>
    </row>
    <row r="61" spans="2:9" x14ac:dyDescent="0.2">
      <c r="C61" s="2"/>
      <c r="E61" s="1"/>
      <c r="F61" s="5">
        <f>SUM(F59:F60)</f>
        <v>2140.5161706386439</v>
      </c>
      <c r="I61" s="5">
        <f>SUM(I59:I60)</f>
        <v>1230.7967981172203</v>
      </c>
    </row>
    <row r="62" spans="2:9" x14ac:dyDescent="0.2">
      <c r="B62" t="s">
        <v>27</v>
      </c>
      <c r="D62" s="1">
        <f>D57-F61-I61</f>
        <v>19901.267884437359</v>
      </c>
    </row>
    <row r="64" spans="2:9" ht="16" thickBot="1" x14ac:dyDescent="0.25"/>
    <row r="65" spans="2:6" x14ac:dyDescent="0.2">
      <c r="B65" s="8" t="s">
        <v>9</v>
      </c>
      <c r="C65" s="9"/>
      <c r="D65" s="10">
        <f>D46-D62</f>
        <v>655.94628222930987</v>
      </c>
      <c r="F65" s="15"/>
    </row>
    <row r="66" spans="2:6" ht="16" thickBot="1" x14ac:dyDescent="0.25">
      <c r="B66" s="11" t="s">
        <v>91</v>
      </c>
      <c r="C66" s="12"/>
      <c r="D66" s="13">
        <f>2*(D65/D36)</f>
        <v>177.74342465753384</v>
      </c>
    </row>
    <row r="68" spans="2:6" x14ac:dyDescent="0.2">
      <c r="D68" t="s">
        <v>31</v>
      </c>
      <c r="E68" t="s">
        <v>29</v>
      </c>
      <c r="F68" t="s">
        <v>30</v>
      </c>
    </row>
    <row r="69" spans="2:6" x14ac:dyDescent="0.2">
      <c r="B69" t="s">
        <v>48</v>
      </c>
      <c r="D69" s="1">
        <f>F45-F61</f>
        <v>191.51716269468989</v>
      </c>
      <c r="E69" s="1">
        <f>I45-I61</f>
        <v>110.12236854944649</v>
      </c>
      <c r="F69" s="1">
        <f>D69+E69</f>
        <v>301.63953124413638</v>
      </c>
    </row>
    <row r="71" spans="2:6" x14ac:dyDescent="0.2">
      <c r="B71" s="6" t="s">
        <v>49</v>
      </c>
    </row>
    <row r="72" spans="2:6" x14ac:dyDescent="0.2">
      <c r="B72" t="s">
        <v>43</v>
      </c>
      <c r="C72" t="s">
        <v>33</v>
      </c>
    </row>
    <row r="73" spans="2:6" x14ac:dyDescent="0.2">
      <c r="B73" t="s">
        <v>42</v>
      </c>
      <c r="C73" t="s">
        <v>32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Hudson-Smith, Sonja</cp:lastModifiedBy>
  <dcterms:created xsi:type="dcterms:W3CDTF">2022-03-15T18:14:34Z</dcterms:created>
  <dcterms:modified xsi:type="dcterms:W3CDTF">2023-11-24T10:15:50Z</dcterms:modified>
</cp:coreProperties>
</file>